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oSystems\Products\Home &amp; Garden\Pricing\Bulk Order Requests\GEOBIN Municipality Payback Calcs\"/>
    </mc:Choice>
  </mc:AlternateContent>
  <xr:revisionPtr revIDLastSave="0" documentId="13_ncr:1_{B922DE9F-345F-431B-98F4-5BD2310CB07F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Compost Payback Calculations" sheetId="1" r:id="rId1"/>
    <sheet name="Resident Cost" sheetId="2" r:id="rId2"/>
    <sheet name="No Cost to Residen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D5" i="2"/>
  <c r="D11" i="1"/>
  <c r="H7" i="1" s="1"/>
  <c r="H8" i="1" s="1"/>
  <c r="D8" i="1"/>
  <c r="D12" i="1" s="1"/>
  <c r="D31" i="1"/>
  <c r="G25" i="1"/>
  <c r="D23" i="1"/>
  <c r="D25" i="1" s="1"/>
  <c r="H13" i="1" l="1"/>
  <c r="D20" i="1"/>
  <c r="D21" i="1" s="1"/>
  <c r="D6" i="2"/>
  <c r="D13" i="1"/>
  <c r="D15" i="1" s="1"/>
  <c r="D16" i="1" s="1"/>
  <c r="H12" i="1" l="1"/>
  <c r="H19" i="1" s="1"/>
  <c r="D8" i="2" s="1"/>
  <c r="D24" i="1"/>
  <c r="D26" i="1" s="1"/>
  <c r="D34" i="1" s="1"/>
  <c r="F29" i="1" s="1"/>
  <c r="F30" i="1" s="1"/>
  <c r="H23" i="1"/>
  <c r="H3" i="2" l="1"/>
  <c r="H18" i="1"/>
  <c r="D7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H25" i="1"/>
  <c r="D7" i="4" s="1"/>
  <c r="H4" i="4"/>
  <c r="D5" i="4"/>
  <c r="H24" i="1"/>
  <c r="D6" i="4" s="1"/>
  <c r="D9" i="4" l="1"/>
  <c r="D10" i="4" s="1"/>
  <c r="D11" i="4" s="1"/>
  <c r="D12" i="4" s="1"/>
  <c r="D13" i="4" s="1"/>
  <c r="D14" i="4" s="1"/>
  <c r="D15" i="4" s="1"/>
  <c r="D16" i="4" s="1"/>
  <c r="D17" i="4" s="1"/>
  <c r="D18" i="4" s="1"/>
</calcChain>
</file>

<file path=xl/sharedStrings.xml><?xml version="1.0" encoding="utf-8"?>
<sst xmlns="http://schemas.openxmlformats.org/spreadsheetml/2006/main" count="116" uniqueCount="80">
  <si>
    <t>Yearly citizen waste</t>
  </si>
  <si>
    <t>Number Citizens</t>
  </si>
  <si>
    <t>Truckload (lbs)</t>
  </si>
  <si>
    <t>Citizens/house</t>
  </si>
  <si>
    <t>$/bin</t>
  </si>
  <si>
    <t>City Cost</t>
  </si>
  <si>
    <t>http://quickfacts.census.gov/qfd/states/00000.html</t>
  </si>
  <si>
    <t>% food waste and Yard trimmings of total</t>
  </si>
  <si>
    <t>US Census- Citizens/Household</t>
  </si>
  <si>
    <t>http://waste360.com/blog/how-green-was-my-garbage-truck</t>
  </si>
  <si>
    <t>http://www.epa.gov/waste/nonhaz/municipal/index.htm</t>
  </si>
  <si>
    <t>Average citizen waste (lbs/day)</t>
  </si>
  <si>
    <t>Units</t>
  </si>
  <si>
    <t>Participation in Composting Program</t>
  </si>
  <si>
    <t>Total Municipal Waste</t>
  </si>
  <si>
    <t>Annual Waste Cost per citizen</t>
  </si>
  <si>
    <t>Food/Lawn Municipal Waste</t>
  </si>
  <si>
    <t>Tipping Fee per Ton</t>
  </si>
  <si>
    <t>Total Annual Municipal Waste Cost</t>
  </si>
  <si>
    <t>No Cost to Resident</t>
  </si>
  <si>
    <t>Payback (years)</t>
  </si>
  <si>
    <t>Payback (months)</t>
  </si>
  <si>
    <t>(lbs/day)</t>
  </si>
  <si>
    <t xml:space="preserve">(lbs) </t>
  </si>
  <si>
    <t>(tons)</t>
  </si>
  <si>
    <t>($/ton)</t>
  </si>
  <si>
    <t>Average citizen Waste</t>
  </si>
  <si>
    <t>Annual Municipal Waste</t>
  </si>
  <si>
    <t>(%)</t>
  </si>
  <si>
    <t>Truckload weight</t>
  </si>
  <si>
    <t>(tons per truckload)</t>
  </si>
  <si>
    <t>($/truckload)</t>
  </si>
  <si>
    <t>($/year)</t>
  </si>
  <si>
    <t>($/citizen)</t>
  </si>
  <si>
    <t>Food/Lawn Waste per year</t>
  </si>
  <si>
    <t xml:space="preserve">Food/Lawn Waste per year </t>
  </si>
  <si>
    <t>Truckload</t>
  </si>
  <si>
    <t>($/yr)</t>
  </si>
  <si>
    <t>Tipping Fees</t>
  </si>
  <si>
    <t>(# truckloads/yr)</t>
  </si>
  <si>
    <t>Avoidable landfill Cost per person per year</t>
  </si>
  <si>
    <t>Avoidable landfill Cost per person per month</t>
  </si>
  <si>
    <t>Resident Cost (if plan to charge residents for bin)</t>
  </si>
  <si>
    <t>Number of Households</t>
  </si>
  <si>
    <t>Total household use rate</t>
  </si>
  <si>
    <t>*Doesn't include decreased gas/maintenance costs of municipal trucks</t>
  </si>
  <si>
    <t>Unit price (enter price from table to the right)</t>
  </si>
  <si>
    <t xml:space="preserve">Avoidable landfill costs/yr </t>
  </si>
  <si>
    <t>Compost Payback Calculations</t>
  </si>
  <si>
    <t>Household participation rate (received a bin)</t>
  </si>
  <si>
    <r>
      <t xml:space="preserve">Household </t>
    </r>
    <r>
      <rPr>
        <b/>
        <sz val="11"/>
        <color theme="1"/>
        <rFont val="Calibri"/>
        <family val="2"/>
        <scheme val="minor"/>
      </rPr>
      <t>use rate</t>
    </r>
    <r>
      <rPr>
        <sz val="11"/>
        <color theme="1"/>
        <rFont val="Calibri"/>
        <family val="2"/>
        <scheme val="minor"/>
      </rPr>
      <t xml:space="preserve"> of those who received a bin</t>
    </r>
  </si>
  <si>
    <t>Resident Cost</t>
  </si>
  <si>
    <t>First year Savings</t>
  </si>
  <si>
    <t>Yearly Savings Calculations</t>
  </si>
  <si>
    <t xml:space="preserve">Compost Program Yearly Savings Calculations </t>
  </si>
  <si>
    <t>Calculated from Compost Payback Calcs</t>
  </si>
  <si>
    <t>Eight Year Savings</t>
  </si>
  <si>
    <t>Nine Year Savings</t>
  </si>
  <si>
    <t>Ten Year Savings</t>
  </si>
  <si>
    <t>Seven Year Savings</t>
  </si>
  <si>
    <t>Six Year Savings</t>
  </si>
  <si>
    <t>Five Year Savings</t>
  </si>
  <si>
    <t>Four Year Savings</t>
  </si>
  <si>
    <t>Three Year Savings</t>
  </si>
  <si>
    <t>Two Year Savings</t>
  </si>
  <si>
    <t>Back to Payback Calculations</t>
  </si>
  <si>
    <t>Avoidable Landfill ($/yr) based on actual # purchased</t>
  </si>
  <si>
    <r>
      <rPr>
        <b/>
        <i/>
        <sz val="11"/>
        <color theme="1"/>
        <rFont val="Calibri"/>
        <family val="2"/>
        <scheme val="minor"/>
      </rPr>
      <t>Directions:</t>
    </r>
    <r>
      <rPr>
        <i/>
        <sz val="11"/>
        <color theme="1"/>
        <rFont val="Calibri"/>
        <family val="2"/>
        <scheme val="minor"/>
      </rPr>
      <t xml:space="preserve"> Input numeric values in </t>
    </r>
    <r>
      <rPr>
        <b/>
        <i/>
        <sz val="11"/>
        <color rgb="FF72AF2F"/>
        <rFont val="Calibri"/>
        <family val="2"/>
        <scheme val="minor"/>
      </rPr>
      <t>GREEN</t>
    </r>
    <r>
      <rPr>
        <i/>
        <sz val="11"/>
        <color theme="1"/>
        <rFont val="Calibri"/>
        <family val="2"/>
        <scheme val="minor"/>
      </rPr>
      <t xml:space="preserve"> based on details of municipality composting program. </t>
    </r>
    <r>
      <rPr>
        <b/>
        <i/>
        <sz val="11"/>
        <color theme="9" tint="-0.249977111117893"/>
        <rFont val="Calibri"/>
        <family val="2"/>
        <scheme val="minor"/>
      </rPr>
      <t>ORANGE</t>
    </r>
    <r>
      <rPr>
        <i/>
        <sz val="11"/>
        <color theme="1"/>
        <rFont val="Calibri"/>
        <family val="2"/>
        <scheme val="minor"/>
      </rPr>
      <t xml:space="preserve"> Values indicate payback period (months)</t>
    </r>
  </si>
  <si>
    <r>
      <rPr>
        <b/>
        <i/>
        <sz val="11"/>
        <color theme="1"/>
        <rFont val="Calibri"/>
        <family val="2"/>
        <scheme val="minor"/>
      </rPr>
      <t>Directions:</t>
    </r>
    <r>
      <rPr>
        <i/>
        <sz val="11"/>
        <color theme="1"/>
        <rFont val="Calibri"/>
        <family val="2"/>
        <scheme val="minor"/>
      </rPr>
      <t xml:space="preserve"> Input numeric values highlighted in </t>
    </r>
    <r>
      <rPr>
        <b/>
        <i/>
        <sz val="11"/>
        <color rgb="FF72AF2F"/>
        <rFont val="Calibri"/>
        <family val="2"/>
        <scheme val="minor"/>
      </rPr>
      <t>GREEN</t>
    </r>
    <r>
      <rPr>
        <i/>
        <sz val="11"/>
        <color theme="1"/>
        <rFont val="Calibri"/>
        <family val="2"/>
        <scheme val="minor"/>
      </rPr>
      <t xml:space="preserve"> based on municipality demographics/known value. </t>
    </r>
    <r>
      <rPr>
        <b/>
        <i/>
        <sz val="11"/>
        <color theme="9" tint="-0.249977111117893"/>
        <rFont val="Calibri"/>
        <family val="2"/>
        <scheme val="minor"/>
      </rPr>
      <t xml:space="preserve"> ORANGE</t>
    </r>
    <r>
      <rPr>
        <i/>
        <sz val="11"/>
        <color theme="1"/>
        <rFont val="Calibri"/>
        <family val="2"/>
        <scheme val="minor"/>
      </rPr>
      <t xml:space="preserve"> Value indicates AVOIDABLE landfill costs per year</t>
    </r>
  </si>
  <si>
    <t>Food and yard waste truckloads/yr</t>
  </si>
  <si>
    <t>Food and Lawn Waste/yr</t>
  </si>
  <si>
    <t>Compost Bin Cost</t>
  </si>
  <si>
    <t>Recommended # Compost bins to purchase based on # of households and participation rate</t>
  </si>
  <si>
    <t>Actual # Compost bins purchased (enter number)</t>
  </si>
  <si>
    <t>Total Compost Bin Cost</t>
  </si>
  <si>
    <t>Statistics</t>
  </si>
  <si>
    <t>80+ bins</t>
  </si>
  <si>
    <t>+ Shipping Costs</t>
  </si>
  <si>
    <t>GEOBIN Bulk Pricing</t>
  </si>
  <si>
    <t>1 to 80 bins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</si>
</sst>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rgb="FF72AF2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4" fillId="0" borderId="0" xfId="4" applyAlignment="1" applyProtection="1"/>
    <xf numFmtId="43" fontId="0" fillId="0" borderId="5" xfId="1" applyFont="1" applyFill="1" applyBorder="1" applyProtection="1"/>
    <xf numFmtId="43" fontId="0" fillId="0" borderId="5" xfId="1" applyFont="1" applyBorder="1" applyProtection="1"/>
    <xf numFmtId="164" fontId="0" fillId="0" borderId="5" xfId="1" applyNumberFormat="1" applyFont="1" applyBorder="1" applyProtection="1"/>
    <xf numFmtId="165" fontId="0" fillId="0" borderId="5" xfId="2" applyNumberFormat="1" applyFont="1" applyBorder="1" applyProtection="1"/>
    <xf numFmtId="44" fontId="0" fillId="0" borderId="8" xfId="2" applyFont="1" applyBorder="1" applyProtection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4" fontId="0" fillId="0" borderId="0" xfId="2" applyFont="1" applyProtection="1"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43" fontId="0" fillId="0" borderId="0" xfId="0" applyNumberFormat="1" applyProtection="1">
      <protection locked="0"/>
    </xf>
    <xf numFmtId="165" fontId="0" fillId="0" borderId="0" xfId="2" applyNumberFormat="1" applyFont="1" applyProtection="1">
      <protection locked="0"/>
    </xf>
    <xf numFmtId="0" fontId="4" fillId="0" borderId="0" xfId="4" applyAlignment="1" applyProtection="1">
      <protection locked="0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4" xfId="0" applyBorder="1"/>
    <xf numFmtId="9" fontId="0" fillId="0" borderId="5" xfId="3" applyFont="1" applyBorder="1" applyProtection="1"/>
    <xf numFmtId="164" fontId="0" fillId="0" borderId="5" xfId="3" applyNumberFormat="1" applyFont="1" applyFill="1" applyBorder="1" applyProtection="1"/>
    <xf numFmtId="164" fontId="0" fillId="0" borderId="5" xfId="3" applyNumberFormat="1" applyFont="1" applyBorder="1" applyProtection="1"/>
    <xf numFmtId="165" fontId="0" fillId="0" borderId="8" xfId="2" applyNumberFormat="1" applyFont="1" applyBorder="1" applyProtection="1"/>
    <xf numFmtId="9" fontId="0" fillId="0" borderId="8" xfId="3" applyFont="1" applyFill="1" applyBorder="1" applyProtection="1"/>
    <xf numFmtId="44" fontId="0" fillId="0" borderId="5" xfId="2" applyFont="1" applyBorder="1" applyProtection="1"/>
    <xf numFmtId="44" fontId="0" fillId="2" borderId="0" xfId="2" applyFont="1" applyFill="1" applyProtection="1"/>
    <xf numFmtId="0" fontId="6" fillId="0" borderId="0" xfId="0" applyFont="1"/>
    <xf numFmtId="164" fontId="0" fillId="0" borderId="5" xfId="1" applyNumberFormat="1" applyFont="1" applyFill="1" applyBorder="1" applyProtection="1"/>
    <xf numFmtId="0" fontId="7" fillId="0" borderId="0" xfId="0" applyFont="1"/>
    <xf numFmtId="0" fontId="6" fillId="0" borderId="0" xfId="0" applyFont="1" applyAlignment="1">
      <alignment horizontal="right"/>
    </xf>
    <xf numFmtId="166" fontId="5" fillId="2" borderId="5" xfId="2" applyNumberFormat="1" applyFont="1" applyFill="1" applyBorder="1" applyProtection="1"/>
    <xf numFmtId="0" fontId="6" fillId="0" borderId="7" xfId="0" applyFont="1" applyBorder="1" applyAlignment="1">
      <alignment horizontal="right"/>
    </xf>
    <xf numFmtId="0" fontId="2" fillId="0" borderId="4" xfId="0" applyFont="1" applyBorder="1"/>
    <xf numFmtId="0" fontId="6" fillId="0" borderId="4" xfId="0" applyFont="1" applyBorder="1"/>
    <xf numFmtId="44" fontId="6" fillId="0" borderId="5" xfId="0" applyNumberFormat="1" applyFont="1" applyBorder="1"/>
    <xf numFmtId="0" fontId="6" fillId="0" borderId="6" xfId="0" applyFont="1" applyBorder="1"/>
    <xf numFmtId="44" fontId="6" fillId="0" borderId="8" xfId="0" applyNumberFormat="1" applyFont="1" applyBorder="1"/>
    <xf numFmtId="44" fontId="1" fillId="0" borderId="5" xfId="2" applyFont="1" applyFill="1" applyBorder="1" applyProtection="1"/>
    <xf numFmtId="0" fontId="9" fillId="0" borderId="7" xfId="0" applyFont="1" applyBorder="1" applyAlignment="1" applyProtection="1">
      <alignment horizontal="left" wrapText="1"/>
      <protection locked="0"/>
    </xf>
    <xf numFmtId="0" fontId="9" fillId="0" borderId="8" xfId="0" applyFont="1" applyBorder="1" applyAlignment="1" applyProtection="1">
      <alignment horizontal="left" wrapText="1"/>
      <protection locked="0"/>
    </xf>
    <xf numFmtId="0" fontId="9" fillId="0" borderId="6" xfId="0" applyFont="1" applyBorder="1" applyAlignment="1" applyProtection="1">
      <alignment horizontal="left" wrapText="1"/>
      <protection locked="0"/>
    </xf>
    <xf numFmtId="0" fontId="4" fillId="0" borderId="0" xfId="4" applyFill="1" applyBorder="1" applyAlignment="1" applyProtection="1">
      <alignment horizontal="right"/>
    </xf>
    <xf numFmtId="0" fontId="0" fillId="0" borderId="0" xfId="0" applyAlignment="1">
      <alignment horizontal="left" wrapText="1"/>
    </xf>
    <xf numFmtId="0" fontId="0" fillId="3" borderId="3" xfId="0" applyFill="1" applyBorder="1" applyProtection="1">
      <protection locked="0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0" fontId="0" fillId="4" borderId="3" xfId="0" applyFill="1" applyBorder="1" applyProtection="1"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43" fontId="0" fillId="4" borderId="3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165" fontId="0" fillId="4" borderId="3" xfId="2" applyNumberFormat="1" applyFont="1" applyFill="1" applyBorder="1" applyProtection="1">
      <protection locked="0"/>
    </xf>
    <xf numFmtId="0" fontId="12" fillId="3" borderId="1" xfId="0" applyFont="1" applyFill="1" applyBorder="1"/>
    <xf numFmtId="0" fontId="0" fillId="3" borderId="2" xfId="0" applyFill="1" applyBorder="1"/>
    <xf numFmtId="44" fontId="0" fillId="3" borderId="3" xfId="2" applyFont="1" applyFill="1" applyBorder="1" applyProtection="1">
      <protection locked="0"/>
    </xf>
    <xf numFmtId="0" fontId="0" fillId="5" borderId="4" xfId="0" applyFill="1" applyBorder="1" applyAlignment="1">
      <alignment horizontal="right"/>
    </xf>
    <xf numFmtId="164" fontId="2" fillId="6" borderId="5" xfId="1" applyNumberFormat="1" applyFont="1" applyFill="1" applyBorder="1" applyProtection="1">
      <protection locked="0"/>
    </xf>
    <xf numFmtId="43" fontId="8" fillId="6" borderId="5" xfId="1" applyFont="1" applyFill="1" applyBorder="1" applyProtection="1">
      <protection locked="0"/>
    </xf>
    <xf numFmtId="165" fontId="2" fillId="6" borderId="5" xfId="2" applyNumberFormat="1" applyFont="1" applyFill="1" applyBorder="1" applyProtection="1">
      <protection locked="0"/>
    </xf>
    <xf numFmtId="9" fontId="2" fillId="6" borderId="5" xfId="0" applyNumberFormat="1" applyFont="1" applyFill="1" applyBorder="1" applyProtection="1">
      <protection locked="0"/>
    </xf>
    <xf numFmtId="9" fontId="2" fillId="6" borderId="5" xfId="3" applyFont="1" applyFill="1" applyBorder="1" applyProtection="1">
      <protection locked="0"/>
    </xf>
    <xf numFmtId="0" fontId="15" fillId="3" borderId="4" xfId="0" applyFont="1" applyFill="1" applyBorder="1"/>
    <xf numFmtId="0" fontId="13" fillId="3" borderId="0" xfId="0" applyFont="1" applyFill="1"/>
    <xf numFmtId="166" fontId="14" fillId="3" borderId="5" xfId="2" applyNumberFormat="1" applyFont="1" applyFill="1" applyBorder="1" applyProtection="1"/>
    <xf numFmtId="44" fontId="0" fillId="0" borderId="0" xfId="2" applyFont="1" applyFill="1" applyBorder="1" applyProtection="1"/>
    <xf numFmtId="44" fontId="0" fillId="0" borderId="0" xfId="2" applyFont="1" applyBorder="1" applyProtection="1"/>
    <xf numFmtId="0" fontId="11" fillId="0" borderId="0" xfId="0" applyFont="1"/>
    <xf numFmtId="0" fontId="3" fillId="0" borderId="0" xfId="0" applyFont="1" applyAlignment="1">
      <alignment horizontal="right"/>
    </xf>
    <xf numFmtId="0" fontId="9" fillId="0" borderId="4" xfId="0" applyFont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 wrapText="1"/>
      <protection locked="0"/>
    </xf>
    <xf numFmtId="0" fontId="9" fillId="0" borderId="3" xfId="0" applyFont="1" applyBorder="1" applyAlignment="1" applyProtection="1">
      <alignment horizontal="left" wrapText="1"/>
      <protection locked="0"/>
    </xf>
    <xf numFmtId="0" fontId="9" fillId="0" borderId="4" xfId="0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2" fillId="5" borderId="9" xfId="0" applyFont="1" applyFill="1" applyBorder="1"/>
    <xf numFmtId="0" fontId="3" fillId="0" borderId="9" xfId="0" applyFont="1" applyBorder="1" applyAlignment="1">
      <alignment horizontal="right"/>
    </xf>
    <xf numFmtId="44" fontId="0" fillId="0" borderId="10" xfId="2" applyFont="1" applyBorder="1" applyProtection="1"/>
    <xf numFmtId="49" fontId="0" fillId="0" borderId="8" xfId="0" applyNumberFormat="1" applyBorder="1" applyProtection="1">
      <protection locked="0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17" fontId="3" fillId="0" borderId="9" xfId="0" applyNumberFormat="1" applyFont="1" applyBorder="1" applyAlignment="1">
      <alignment horizontal="right"/>
    </xf>
    <xf numFmtId="0" fontId="9" fillId="0" borderId="0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12" fillId="3" borderId="4" xfId="0" applyFont="1" applyFill="1" applyBorder="1"/>
    <xf numFmtId="0" fontId="0" fillId="3" borderId="0" xfId="0" applyFill="1" applyBorder="1"/>
    <xf numFmtId="0" fontId="0" fillId="3" borderId="5" xfId="0" applyFill="1" applyBorder="1" applyProtection="1">
      <protection locked="0"/>
    </xf>
    <xf numFmtId="0" fontId="0" fillId="5" borderId="0" xfId="0" applyFill="1" applyBorder="1"/>
    <xf numFmtId="0" fontId="0" fillId="0" borderId="0" xfId="0" applyBorder="1" applyAlignment="1">
      <alignment wrapText="1"/>
    </xf>
    <xf numFmtId="37" fontId="0" fillId="0" borderId="5" xfId="0" applyNumberFormat="1" applyBorder="1"/>
    <xf numFmtId="0" fontId="0" fillId="0" borderId="0" xfId="0" applyBorder="1"/>
    <xf numFmtId="41" fontId="2" fillId="6" borderId="5" xfId="0" applyNumberFormat="1" applyFont="1" applyFill="1" applyBorder="1" applyProtection="1">
      <protection locked="0"/>
    </xf>
    <xf numFmtId="44" fontId="2" fillId="6" borderId="5" xfId="2" applyFont="1" applyFill="1" applyBorder="1" applyProtection="1">
      <protection locked="0"/>
    </xf>
    <xf numFmtId="0" fontId="0" fillId="0" borderId="5" xfId="0" applyBorder="1"/>
    <xf numFmtId="44" fontId="0" fillId="0" borderId="5" xfId="2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44" fontId="0" fillId="3" borderId="5" xfId="2" applyFon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166" fontId="5" fillId="2" borderId="8" xfId="2" applyNumberFormat="1" applyFont="1" applyFill="1" applyBorder="1" applyProtection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72AF2F"/>
      <color rgb="FFADD2D3"/>
      <color rgb="FF8DC0C1"/>
      <color rgb="FF75B2B3"/>
      <color rgb="FF339966"/>
      <color rgb="FFB67274"/>
      <color rgb="FFAF9179"/>
      <color rgb="FF77B1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pa.gov/waste/nonhaz/municipal/index.htm" TargetMode="External"/><Relationship Id="rId2" Type="http://schemas.openxmlformats.org/officeDocument/2006/relationships/hyperlink" Target="http://waste360.com/blog/how-green-was-my-garbage-truck" TargetMode="External"/><Relationship Id="rId1" Type="http://schemas.openxmlformats.org/officeDocument/2006/relationships/hyperlink" Target="http://quickfacts.census.gov/qfd/states/00000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3"/>
  <sheetViews>
    <sheetView tabSelected="1" zoomScale="85" zoomScaleNormal="85" workbookViewId="0">
      <selection activeCell="J19" sqref="J19"/>
    </sheetView>
  </sheetViews>
  <sheetFormatPr defaultColWidth="9.15625" defaultRowHeight="14.4" x14ac:dyDescent="0.55000000000000004"/>
  <cols>
    <col min="1" max="1" width="9.15625" style="7"/>
    <col min="2" max="2" width="47" style="7" customWidth="1"/>
    <col min="3" max="3" width="17.7890625" style="7" customWidth="1"/>
    <col min="4" max="4" width="18" style="7" customWidth="1"/>
    <col min="5" max="5" width="8.15625" style="7" customWidth="1"/>
    <col min="6" max="6" width="9.15625" style="7" customWidth="1"/>
    <col min="7" max="7" width="50.734375" style="7" customWidth="1"/>
    <col min="8" max="8" width="14.26171875" style="7" customWidth="1"/>
    <col min="9" max="9" width="6.734375" style="7" customWidth="1"/>
    <col min="10" max="10" width="17.41796875" style="7" bestFit="1" customWidth="1"/>
    <col min="11" max="11" width="9.15625" style="7"/>
    <col min="12" max="12" width="13.3671875" style="7" bestFit="1" customWidth="1"/>
    <col min="13" max="16384" width="9.15625" style="7"/>
  </cols>
  <sheetData>
    <row r="1" spans="2:12" ht="18.3" x14ac:dyDescent="0.7">
      <c r="B1" s="29" t="s">
        <v>48</v>
      </c>
    </row>
    <row r="2" spans="2:12" ht="14.25" customHeight="1" x14ac:dyDescent="0.7">
      <c r="B2" s="29"/>
    </row>
    <row r="3" spans="2:12" x14ac:dyDescent="0.55000000000000004">
      <c r="B3" s="70" t="s">
        <v>68</v>
      </c>
      <c r="C3" s="71"/>
      <c r="D3" s="72"/>
      <c r="F3" s="70" t="s">
        <v>67</v>
      </c>
      <c r="G3" s="71"/>
      <c r="H3" s="72"/>
    </row>
    <row r="4" spans="2:12" x14ac:dyDescent="0.55000000000000004">
      <c r="B4" s="73"/>
      <c r="C4" s="74"/>
      <c r="D4" s="75"/>
      <c r="F4" s="73"/>
      <c r="G4" s="85"/>
      <c r="H4" s="75"/>
    </row>
    <row r="5" spans="2:12" x14ac:dyDescent="0.55000000000000004">
      <c r="B5" s="41"/>
      <c r="C5" s="39"/>
      <c r="D5" s="40"/>
      <c r="F5" s="68"/>
      <c r="G5" s="86"/>
      <c r="H5" s="69"/>
    </row>
    <row r="6" spans="2:12" ht="15.6" x14ac:dyDescent="0.6">
      <c r="B6" s="45" t="s">
        <v>14</v>
      </c>
      <c r="C6" s="46" t="s">
        <v>12</v>
      </c>
      <c r="D6" s="47"/>
      <c r="F6" s="87" t="s">
        <v>71</v>
      </c>
      <c r="G6" s="88"/>
      <c r="H6" s="89"/>
      <c r="J6" s="78" t="s">
        <v>78</v>
      </c>
      <c r="K6" s="82" t="s">
        <v>4</v>
      </c>
      <c r="L6" s="83"/>
    </row>
    <row r="7" spans="2:12" x14ac:dyDescent="0.55000000000000004">
      <c r="B7" s="15" t="s">
        <v>26</v>
      </c>
      <c r="C7" s="16" t="s">
        <v>22</v>
      </c>
      <c r="D7" s="2">
        <v>4.43</v>
      </c>
      <c r="F7" s="19"/>
      <c r="G7" s="90" t="s">
        <v>43</v>
      </c>
      <c r="H7" s="28">
        <f>D11</f>
        <v>38611</v>
      </c>
      <c r="J7" s="84" t="s">
        <v>79</v>
      </c>
      <c r="K7" s="80">
        <v>35.99</v>
      </c>
      <c r="L7" s="81"/>
    </row>
    <row r="8" spans="2:12" x14ac:dyDescent="0.55000000000000004">
      <c r="B8" s="15" t="s">
        <v>0</v>
      </c>
      <c r="C8" s="16" t="s">
        <v>23</v>
      </c>
      <c r="D8" s="3">
        <f>D7*365</f>
        <v>1616.9499999999998</v>
      </c>
      <c r="F8" s="19"/>
      <c r="G8" s="91" t="s">
        <v>72</v>
      </c>
      <c r="H8" s="92">
        <f>ROUNDUP(H7*D29,0)</f>
        <v>7723</v>
      </c>
      <c r="J8" s="79" t="s">
        <v>76</v>
      </c>
      <c r="K8" s="80">
        <v>28</v>
      </c>
      <c r="L8" s="81" t="s">
        <v>77</v>
      </c>
    </row>
    <row r="9" spans="2:12" x14ac:dyDescent="0.55000000000000004">
      <c r="B9" s="15" t="s">
        <v>1</v>
      </c>
      <c r="C9" s="16"/>
      <c r="D9" s="56">
        <v>100000</v>
      </c>
      <c r="F9" s="19"/>
      <c r="G9" s="91"/>
      <c r="H9" s="92"/>
      <c r="J9" s="76"/>
      <c r="K9" s="65"/>
      <c r="L9" s="77"/>
    </row>
    <row r="10" spans="2:12" x14ac:dyDescent="0.55000000000000004">
      <c r="B10" s="15" t="s">
        <v>3</v>
      </c>
      <c r="D10" s="57">
        <v>2.59</v>
      </c>
      <c r="E10" s="12"/>
      <c r="F10" s="19"/>
      <c r="G10" s="93" t="s">
        <v>73</v>
      </c>
      <c r="H10" s="94">
        <v>75</v>
      </c>
      <c r="J10" s="76"/>
      <c r="K10" s="65"/>
      <c r="L10" s="77"/>
    </row>
    <row r="11" spans="2:12" x14ac:dyDescent="0.55000000000000004">
      <c r="B11" s="55" t="s">
        <v>43</v>
      </c>
      <c r="D11" s="28">
        <f>ROUNDUP(D9/D10,0)</f>
        <v>38611</v>
      </c>
      <c r="E11" s="12"/>
      <c r="F11" s="19"/>
      <c r="G11" s="93" t="s">
        <v>46</v>
      </c>
      <c r="H11" s="95">
        <v>35.99</v>
      </c>
      <c r="J11" s="77"/>
      <c r="K11" s="77"/>
      <c r="L11" s="77"/>
    </row>
    <row r="12" spans="2:12" x14ac:dyDescent="0.55000000000000004">
      <c r="B12" s="15" t="s">
        <v>27</v>
      </c>
      <c r="C12" s="16" t="s">
        <v>23</v>
      </c>
      <c r="D12" s="4">
        <f>D9*D8</f>
        <v>161694999.99999997</v>
      </c>
      <c r="E12" s="12"/>
      <c r="F12" s="19"/>
      <c r="G12" s="93" t="s">
        <v>66</v>
      </c>
      <c r="H12" s="38">
        <f>D10*D16*D19*H10*D30</f>
        <v>628.18507499999998</v>
      </c>
      <c r="J12" s="76"/>
      <c r="K12" s="65"/>
      <c r="L12" s="77"/>
    </row>
    <row r="13" spans="2:12" x14ac:dyDescent="0.55000000000000004">
      <c r="B13" s="15" t="s">
        <v>27</v>
      </c>
      <c r="C13" s="16" t="s">
        <v>24</v>
      </c>
      <c r="D13" s="4">
        <f>D12/2000</f>
        <v>80847.499999999985</v>
      </c>
      <c r="F13" s="19"/>
      <c r="G13" s="93" t="s">
        <v>74</v>
      </c>
      <c r="H13" s="25">
        <f>H10*H11</f>
        <v>2699.25</v>
      </c>
      <c r="J13" s="76"/>
      <c r="K13" s="65"/>
      <c r="L13" s="77"/>
    </row>
    <row r="14" spans="2:12" x14ac:dyDescent="0.55000000000000004">
      <c r="B14" s="15" t="s">
        <v>17</v>
      </c>
      <c r="C14" s="16" t="s">
        <v>25</v>
      </c>
      <c r="D14" s="58">
        <v>20</v>
      </c>
      <c r="F14" s="19"/>
      <c r="G14" s="93"/>
      <c r="H14" s="96"/>
      <c r="J14" s="67"/>
      <c r="K14" s="65"/>
    </row>
    <row r="15" spans="2:12" ht="15.6" x14ac:dyDescent="0.6">
      <c r="B15" s="15" t="s">
        <v>18</v>
      </c>
      <c r="C15" s="16"/>
      <c r="D15" s="5">
        <f>D13*D14</f>
        <v>1616949.9999999998</v>
      </c>
      <c r="F15" s="87" t="s">
        <v>42</v>
      </c>
      <c r="G15" s="88"/>
      <c r="H15" s="89"/>
    </row>
    <row r="16" spans="2:12" x14ac:dyDescent="0.55000000000000004">
      <c r="B16" s="17" t="s">
        <v>15</v>
      </c>
      <c r="C16" s="18" t="s">
        <v>33</v>
      </c>
      <c r="D16" s="6">
        <f>D15/D9</f>
        <v>16.169499999999999</v>
      </c>
      <c r="F16" s="33"/>
      <c r="G16" s="93" t="s">
        <v>51</v>
      </c>
      <c r="H16" s="95">
        <v>20</v>
      </c>
    </row>
    <row r="17" spans="2:8" x14ac:dyDescent="0.55000000000000004">
      <c r="B17" s="11"/>
      <c r="C17" s="11"/>
      <c r="D17" s="9"/>
      <c r="F17" s="19"/>
      <c r="G17" s="93" t="s">
        <v>5</v>
      </c>
      <c r="H17" s="25">
        <f>+(H11-H16)*(H10)</f>
        <v>1199.2500000000002</v>
      </c>
    </row>
    <row r="18" spans="2:8" ht="15.6" x14ac:dyDescent="0.6">
      <c r="B18" s="48" t="s">
        <v>16</v>
      </c>
      <c r="C18" s="46" t="s">
        <v>12</v>
      </c>
      <c r="D18" s="49"/>
      <c r="F18" s="19"/>
      <c r="G18" s="93" t="s">
        <v>20</v>
      </c>
      <c r="H18" s="3">
        <f>H17/H12</f>
        <v>1.9090711443598056</v>
      </c>
    </row>
    <row r="19" spans="2:8" ht="18.3" x14ac:dyDescent="0.7">
      <c r="B19" s="15" t="s">
        <v>7</v>
      </c>
      <c r="C19" s="16" t="s">
        <v>28</v>
      </c>
      <c r="D19" s="20">
        <v>0.25</v>
      </c>
      <c r="F19" s="19"/>
      <c r="G19" s="93" t="s">
        <v>21</v>
      </c>
      <c r="H19" s="31">
        <f>(H17/H12)*12</f>
        <v>22.908853732317667</v>
      </c>
    </row>
    <row r="20" spans="2:8" x14ac:dyDescent="0.55000000000000004">
      <c r="B20" s="15" t="s">
        <v>34</v>
      </c>
      <c r="C20" s="16" t="s">
        <v>23</v>
      </c>
      <c r="D20" s="4">
        <f>D19*D12</f>
        <v>40423749.999999993</v>
      </c>
      <c r="F20" s="19"/>
      <c r="G20" s="42"/>
      <c r="H20" s="97"/>
    </row>
    <row r="21" spans="2:8" x14ac:dyDescent="0.55000000000000004">
      <c r="B21" s="15" t="s">
        <v>35</v>
      </c>
      <c r="C21" s="16" t="s">
        <v>24</v>
      </c>
      <c r="D21" s="4">
        <f>D20/2000</f>
        <v>20211.874999999996</v>
      </c>
      <c r="F21" s="98"/>
      <c r="G21" s="77"/>
      <c r="H21" s="99"/>
    </row>
    <row r="22" spans="2:8" ht="15.6" x14ac:dyDescent="0.6">
      <c r="B22" s="15" t="s">
        <v>36</v>
      </c>
      <c r="C22" s="16" t="s">
        <v>23</v>
      </c>
      <c r="D22" s="56">
        <v>18000</v>
      </c>
      <c r="F22" s="87" t="s">
        <v>19</v>
      </c>
      <c r="G22" s="88"/>
      <c r="H22" s="100"/>
    </row>
    <row r="23" spans="2:8" x14ac:dyDescent="0.55000000000000004">
      <c r="B23" s="15" t="s">
        <v>29</v>
      </c>
      <c r="C23" s="16" t="s">
        <v>30</v>
      </c>
      <c r="D23" s="21">
        <f>D22/2000</f>
        <v>9</v>
      </c>
      <c r="F23" s="19"/>
      <c r="G23" s="93" t="s">
        <v>5</v>
      </c>
      <c r="H23" s="25">
        <f>H13</f>
        <v>2699.25</v>
      </c>
    </row>
    <row r="24" spans="2:8" x14ac:dyDescent="0.55000000000000004">
      <c r="B24" s="15" t="s">
        <v>69</v>
      </c>
      <c r="C24" s="16" t="s">
        <v>39</v>
      </c>
      <c r="D24" s="22">
        <f>+D21/D23</f>
        <v>2245.7638888888887</v>
      </c>
      <c r="F24" s="19"/>
      <c r="G24" s="93" t="s">
        <v>20</v>
      </c>
      <c r="H24" s="3">
        <f>H23/H12</f>
        <v>4.296902469387704</v>
      </c>
    </row>
    <row r="25" spans="2:8" ht="18.3" x14ac:dyDescent="0.7">
      <c r="B25" s="15" t="s">
        <v>38</v>
      </c>
      <c r="C25" s="16" t="s">
        <v>31</v>
      </c>
      <c r="D25" s="5">
        <f>D23*D14</f>
        <v>180</v>
      </c>
      <c r="F25" s="101"/>
      <c r="G25" s="102" t="str">
        <f>G19</f>
        <v>Payback (months)</v>
      </c>
      <c r="H25" s="103">
        <f>H13/H12*12</f>
        <v>51.562829632652452</v>
      </c>
    </row>
    <row r="26" spans="2:8" x14ac:dyDescent="0.55000000000000004">
      <c r="B26" s="17" t="s">
        <v>70</v>
      </c>
      <c r="C26" s="18" t="s">
        <v>32</v>
      </c>
      <c r="D26" s="23">
        <f>D25*D24</f>
        <v>404237.49999999994</v>
      </c>
      <c r="G26" s="42"/>
    </row>
    <row r="27" spans="2:8" ht="19.2" x14ac:dyDescent="0.7">
      <c r="B27" s="11"/>
      <c r="C27" s="11"/>
      <c r="D27" s="13"/>
      <c r="F27" s="66" t="s">
        <v>75</v>
      </c>
      <c r="G27"/>
    </row>
    <row r="28" spans="2:8" ht="15.6" x14ac:dyDescent="0.6">
      <c r="B28" s="48" t="s">
        <v>13</v>
      </c>
      <c r="C28" s="50"/>
      <c r="D28" s="51"/>
      <c r="F28"/>
      <c r="G28"/>
    </row>
    <row r="29" spans="2:8" x14ac:dyDescent="0.55000000000000004">
      <c r="B29" s="10" t="s">
        <v>49</v>
      </c>
      <c r="C29" s="11"/>
      <c r="D29" s="59">
        <v>0.2</v>
      </c>
      <c r="F29" s="64">
        <f>+D34/(D31*D9)</f>
        <v>4.0423749999999989</v>
      </c>
      <c r="G29" t="s">
        <v>40</v>
      </c>
    </row>
    <row r="30" spans="2:8" x14ac:dyDescent="0.55000000000000004">
      <c r="B30" s="15" t="s">
        <v>50</v>
      </c>
      <c r="C30" s="16"/>
      <c r="D30" s="60">
        <v>0.8</v>
      </c>
      <c r="E30" s="8"/>
      <c r="F30" s="64">
        <f>+F29/12</f>
        <v>0.33686458333333325</v>
      </c>
      <c r="G30" t="s">
        <v>41</v>
      </c>
    </row>
    <row r="31" spans="2:8" x14ac:dyDescent="0.55000000000000004">
      <c r="B31" s="17" t="s">
        <v>44</v>
      </c>
      <c r="C31" s="18"/>
      <c r="D31" s="24">
        <f>+D29*D30</f>
        <v>0.16000000000000003</v>
      </c>
      <c r="F31" s="64"/>
      <c r="G31"/>
    </row>
    <row r="32" spans="2:8" x14ac:dyDescent="0.55000000000000004">
      <c r="B32" s="16"/>
      <c r="C32" s="16"/>
    </row>
    <row r="33" spans="2:5" x14ac:dyDescent="0.55000000000000004">
      <c r="B33" s="16"/>
      <c r="C33" s="16"/>
    </row>
    <row r="34" spans="2:5" x14ac:dyDescent="0.55000000000000004">
      <c r="B34" s="16" t="s">
        <v>47</v>
      </c>
      <c r="C34" s="16" t="s">
        <v>37</v>
      </c>
      <c r="D34" s="26">
        <f>D26*D31</f>
        <v>64678</v>
      </c>
      <c r="E34" s="27" t="s">
        <v>45</v>
      </c>
    </row>
    <row r="36" spans="2:5" x14ac:dyDescent="0.55000000000000004">
      <c r="B36" t="s">
        <v>8</v>
      </c>
    </row>
    <row r="37" spans="2:5" x14ac:dyDescent="0.55000000000000004">
      <c r="B37" s="1" t="s">
        <v>6</v>
      </c>
      <c r="C37" s="14"/>
    </row>
    <row r="38" spans="2:5" x14ac:dyDescent="0.55000000000000004">
      <c r="B38"/>
    </row>
    <row r="39" spans="2:5" x14ac:dyDescent="0.55000000000000004">
      <c r="B39" t="s">
        <v>2</v>
      </c>
    </row>
    <row r="40" spans="2:5" x14ac:dyDescent="0.55000000000000004">
      <c r="B40" s="1" t="s">
        <v>9</v>
      </c>
      <c r="C40" s="14"/>
    </row>
    <row r="41" spans="2:5" x14ac:dyDescent="0.55000000000000004">
      <c r="B41"/>
    </row>
    <row r="42" spans="2:5" x14ac:dyDescent="0.55000000000000004">
      <c r="B42" t="s">
        <v>11</v>
      </c>
    </row>
    <row r="43" spans="2:5" x14ac:dyDescent="0.55000000000000004">
      <c r="B43" s="1" t="s">
        <v>10</v>
      </c>
      <c r="C43" s="14"/>
    </row>
  </sheetData>
  <sheetProtection algorithmName="SHA-512" hashValue="q0n8PH/01yTS0/66Na07FzDw1kPP1A2NR5n7zzMG4o7WBGdSNHJexEHhXIeQ9bNw9oSJeShxh08nTKt9q4kD+Q==" saltValue="/UfdAF7SY+p4C5YRTxDiKA==" spinCount="100000" sheet="1" selectLockedCells="1"/>
  <mergeCells count="5">
    <mergeCell ref="B3:D4"/>
    <mergeCell ref="G8:G9"/>
    <mergeCell ref="H8:H9"/>
    <mergeCell ref="F3:H4"/>
    <mergeCell ref="K6:L6"/>
  </mergeCells>
  <hyperlinks>
    <hyperlink ref="B37" r:id="rId1" xr:uid="{00000000-0004-0000-0000-000000000000}"/>
    <hyperlink ref="B40" r:id="rId2" xr:uid="{00000000-0004-0000-0000-000001000000}"/>
    <hyperlink ref="B43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zoomScale="120" zoomScaleNormal="120" workbookViewId="0">
      <selection activeCell="D4" sqref="D4"/>
    </sheetView>
  </sheetViews>
  <sheetFormatPr defaultRowHeight="14.4" x14ac:dyDescent="0.55000000000000004"/>
  <cols>
    <col min="2" max="2" width="11" customWidth="1"/>
    <col min="3" max="3" width="33" customWidth="1"/>
    <col min="4" max="4" width="16.7890625" customWidth="1"/>
    <col min="6" max="6" width="30.5234375" customWidth="1"/>
    <col min="8" max="8" width="13.734375" customWidth="1"/>
  </cols>
  <sheetData>
    <row r="1" spans="1:8" ht="18.3" x14ac:dyDescent="0.7">
      <c r="A1" s="29" t="s">
        <v>54</v>
      </c>
      <c r="D1" s="1" t="s">
        <v>65</v>
      </c>
    </row>
    <row r="2" spans="1:8" x14ac:dyDescent="0.55000000000000004">
      <c r="B2" t="s">
        <v>55</v>
      </c>
    </row>
    <row r="3" spans="1:8" ht="28.8" x14ac:dyDescent="0.55000000000000004">
      <c r="F3" s="43" t="s">
        <v>66</v>
      </c>
      <c r="G3" s="16" t="s">
        <v>37</v>
      </c>
      <c r="H3" s="26">
        <f>'Compost Payback Calculations'!H12</f>
        <v>628.18507499999998</v>
      </c>
    </row>
    <row r="4" spans="1:8" ht="15.6" x14ac:dyDescent="0.6">
      <c r="B4" s="52" t="s">
        <v>42</v>
      </c>
      <c r="C4" s="53"/>
      <c r="D4" s="44"/>
    </row>
    <row r="5" spans="1:8" x14ac:dyDescent="0.55000000000000004">
      <c r="B5" s="33"/>
      <c r="C5" s="16" t="s">
        <v>51</v>
      </c>
      <c r="D5" s="38">
        <f>'Compost Payback Calculations'!H16</f>
        <v>20</v>
      </c>
    </row>
    <row r="6" spans="1:8" x14ac:dyDescent="0.55000000000000004">
      <c r="B6" s="19"/>
      <c r="C6" s="16" t="s">
        <v>5</v>
      </c>
      <c r="D6" s="25">
        <f>'Compost Payback Calculations'!H17</f>
        <v>1199.2500000000002</v>
      </c>
    </row>
    <row r="7" spans="1:8" x14ac:dyDescent="0.55000000000000004">
      <c r="B7" s="19"/>
      <c r="C7" s="16" t="s">
        <v>20</v>
      </c>
      <c r="D7" s="3">
        <f>+'Compost Payback Calculations'!H18</f>
        <v>1.9090711443598056</v>
      </c>
    </row>
    <row r="8" spans="1:8" ht="18.3" x14ac:dyDescent="0.7">
      <c r="B8" s="19"/>
      <c r="C8" s="16" t="s">
        <v>21</v>
      </c>
      <c r="D8" s="31">
        <f>'Compost Payback Calculations'!H19</f>
        <v>22.908853732317667</v>
      </c>
    </row>
    <row r="9" spans="1:8" ht="15.75" customHeight="1" x14ac:dyDescent="0.7">
      <c r="B9" s="61" t="s">
        <v>53</v>
      </c>
      <c r="C9" s="62"/>
      <c r="D9" s="63"/>
    </row>
    <row r="10" spans="1:8" x14ac:dyDescent="0.55000000000000004">
      <c r="B10" s="34">
        <v>1</v>
      </c>
      <c r="C10" s="30" t="s">
        <v>52</v>
      </c>
      <c r="D10" s="35">
        <f>(1-D7)*H3</f>
        <v>-571.06492500000036</v>
      </c>
    </row>
    <row r="11" spans="1:8" x14ac:dyDescent="0.55000000000000004">
      <c r="B11" s="34">
        <v>2</v>
      </c>
      <c r="C11" s="30" t="s">
        <v>64</v>
      </c>
      <c r="D11" s="35">
        <f t="shared" ref="D11:D19" si="0">IF(D10&gt;0,D10+$H$3,(B11-$D$7)*$H$3)</f>
        <v>57.120149999999676</v>
      </c>
    </row>
    <row r="12" spans="1:8" x14ac:dyDescent="0.55000000000000004">
      <c r="B12" s="34">
        <v>3</v>
      </c>
      <c r="C12" s="30" t="s">
        <v>63</v>
      </c>
      <c r="D12" s="35">
        <f t="shared" si="0"/>
        <v>685.30522499999961</v>
      </c>
    </row>
    <row r="13" spans="1:8" x14ac:dyDescent="0.55000000000000004">
      <c r="B13" s="34">
        <v>4</v>
      </c>
      <c r="C13" s="30" t="s">
        <v>62</v>
      </c>
      <c r="D13" s="35">
        <f t="shared" si="0"/>
        <v>1313.4902999999995</v>
      </c>
    </row>
    <row r="14" spans="1:8" x14ac:dyDescent="0.55000000000000004">
      <c r="B14" s="34">
        <v>5</v>
      </c>
      <c r="C14" s="30" t="s">
        <v>61</v>
      </c>
      <c r="D14" s="35">
        <f t="shared" si="0"/>
        <v>1941.6753749999993</v>
      </c>
    </row>
    <row r="15" spans="1:8" x14ac:dyDescent="0.55000000000000004">
      <c r="B15" s="34">
        <v>6</v>
      </c>
      <c r="C15" s="30" t="s">
        <v>60</v>
      </c>
      <c r="D15" s="35">
        <f t="shared" si="0"/>
        <v>2569.8604499999992</v>
      </c>
    </row>
    <row r="16" spans="1:8" x14ac:dyDescent="0.55000000000000004">
      <c r="B16" s="34">
        <v>7</v>
      </c>
      <c r="C16" s="30" t="s">
        <v>59</v>
      </c>
      <c r="D16" s="35">
        <f t="shared" si="0"/>
        <v>3198.0455249999991</v>
      </c>
    </row>
    <row r="17" spans="2:4" x14ac:dyDescent="0.55000000000000004">
      <c r="B17" s="34">
        <v>8</v>
      </c>
      <c r="C17" s="30" t="s">
        <v>56</v>
      </c>
      <c r="D17" s="35">
        <f t="shared" si="0"/>
        <v>3826.230599999999</v>
      </c>
    </row>
    <row r="18" spans="2:4" x14ac:dyDescent="0.55000000000000004">
      <c r="B18" s="34">
        <v>9</v>
      </c>
      <c r="C18" s="30" t="s">
        <v>57</v>
      </c>
      <c r="D18" s="35">
        <f t="shared" si="0"/>
        <v>4454.4156749999993</v>
      </c>
    </row>
    <row r="19" spans="2:4" x14ac:dyDescent="0.55000000000000004">
      <c r="B19" s="36">
        <v>10</v>
      </c>
      <c r="C19" s="32" t="s">
        <v>58</v>
      </c>
      <c r="D19" s="37">
        <f t="shared" si="0"/>
        <v>5082.6007499999996</v>
      </c>
    </row>
  </sheetData>
  <sheetProtection algorithmName="SHA-512" hashValue="X5dfuK0IX8Qsn1pmpIk8WJWCHb0DpsaAa3yHpL8qsy3pLyOi5CzxPZRYiR2pnGJoEuHzRrkx0FYKWG2N+gS2HQ==" saltValue="SRRYnGE4nTK5xQxtgZZVlg==" spinCount="100000" sheet="1" selectLockedCells="1"/>
  <hyperlinks>
    <hyperlink ref="D1" location="'Compost Payback Calculations'!A1" display="Back to Payback Calculations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zoomScale="120" zoomScaleNormal="120" workbookViewId="0">
      <selection activeCell="D4" sqref="D4"/>
    </sheetView>
  </sheetViews>
  <sheetFormatPr defaultRowHeight="14.4" x14ac:dyDescent="0.55000000000000004"/>
  <cols>
    <col min="2" max="2" width="11" customWidth="1"/>
    <col min="3" max="3" width="33" customWidth="1"/>
    <col min="4" max="4" width="16.7890625" customWidth="1"/>
    <col min="6" max="6" width="26.7890625" customWidth="1"/>
    <col min="8" max="8" width="16.5234375" customWidth="1"/>
  </cols>
  <sheetData>
    <row r="1" spans="1:8" ht="18.3" x14ac:dyDescent="0.7">
      <c r="A1" s="29" t="s">
        <v>54</v>
      </c>
      <c r="D1" s="1" t="s">
        <v>65</v>
      </c>
    </row>
    <row r="2" spans="1:8" x14ac:dyDescent="0.55000000000000004">
      <c r="B2" t="s">
        <v>55</v>
      </c>
    </row>
    <row r="4" spans="1:8" ht="15.6" x14ac:dyDescent="0.6">
      <c r="B4" s="52" t="s">
        <v>19</v>
      </c>
      <c r="C4" s="53"/>
      <c r="D4" s="54"/>
      <c r="F4" s="16" t="s">
        <v>47</v>
      </c>
      <c r="G4" s="16" t="s">
        <v>37</v>
      </c>
      <c r="H4" s="26">
        <f>'Compost Payback Calculations'!H12</f>
        <v>628.18507499999998</v>
      </c>
    </row>
    <row r="5" spans="1:8" x14ac:dyDescent="0.55000000000000004">
      <c r="B5" s="19"/>
      <c r="C5" s="16" t="s">
        <v>5</v>
      </c>
      <c r="D5" s="25">
        <f>'Compost Payback Calculations'!H23</f>
        <v>2699.25</v>
      </c>
    </row>
    <row r="6" spans="1:8" x14ac:dyDescent="0.55000000000000004">
      <c r="B6" s="19"/>
      <c r="C6" s="16" t="s">
        <v>20</v>
      </c>
      <c r="D6" s="3">
        <f>'Compost Payback Calculations'!H24</f>
        <v>4.296902469387704</v>
      </c>
    </row>
    <row r="7" spans="1:8" ht="18.3" x14ac:dyDescent="0.7">
      <c r="B7" s="19"/>
      <c r="C7" s="16" t="s">
        <v>21</v>
      </c>
      <c r="D7" s="31">
        <f>'Compost Payback Calculations'!H25</f>
        <v>51.562829632652452</v>
      </c>
    </row>
    <row r="8" spans="1:8" ht="18.3" x14ac:dyDescent="0.7">
      <c r="B8" s="61" t="s">
        <v>53</v>
      </c>
      <c r="C8" s="62"/>
      <c r="D8" s="63"/>
    </row>
    <row r="9" spans="1:8" ht="15.75" customHeight="1" x14ac:dyDescent="0.55000000000000004">
      <c r="B9" s="34">
        <v>1</v>
      </c>
      <c r="C9" s="30" t="s">
        <v>52</v>
      </c>
      <c r="D9" s="35">
        <f>(1-D6)*H4</f>
        <v>-2071.0649250000001</v>
      </c>
    </row>
    <row r="10" spans="1:8" x14ac:dyDescent="0.55000000000000004">
      <c r="B10" s="34">
        <v>2</v>
      </c>
      <c r="C10" s="30" t="s">
        <v>64</v>
      </c>
      <c r="D10" s="35">
        <f t="shared" ref="D10:D18" si="0">IF(D9&gt;0,D9+$H$4,(B10-$D$6)*$H$4)</f>
        <v>-1442.87985</v>
      </c>
    </row>
    <row r="11" spans="1:8" x14ac:dyDescent="0.55000000000000004">
      <c r="B11" s="34">
        <v>3</v>
      </c>
      <c r="C11" s="30" t="s">
        <v>63</v>
      </c>
      <c r="D11" s="35">
        <f t="shared" si="0"/>
        <v>-814.69477500000005</v>
      </c>
    </row>
    <row r="12" spans="1:8" x14ac:dyDescent="0.55000000000000004">
      <c r="B12" s="34">
        <v>4</v>
      </c>
      <c r="C12" s="30" t="s">
        <v>62</v>
      </c>
      <c r="D12" s="35">
        <f t="shared" si="0"/>
        <v>-186.50970000000007</v>
      </c>
    </row>
    <row r="13" spans="1:8" x14ac:dyDescent="0.55000000000000004">
      <c r="B13" s="34">
        <v>5</v>
      </c>
      <c r="C13" s="30" t="s">
        <v>61</v>
      </c>
      <c r="D13" s="35">
        <f t="shared" si="0"/>
        <v>441.67537499999992</v>
      </c>
    </row>
    <row r="14" spans="1:8" x14ac:dyDescent="0.55000000000000004">
      <c r="B14" s="34">
        <v>6</v>
      </c>
      <c r="C14" s="30" t="s">
        <v>60</v>
      </c>
      <c r="D14" s="35">
        <f t="shared" si="0"/>
        <v>1069.8604499999999</v>
      </c>
    </row>
    <row r="15" spans="1:8" x14ac:dyDescent="0.55000000000000004">
      <c r="B15" s="34">
        <v>7</v>
      </c>
      <c r="C15" s="30" t="s">
        <v>59</v>
      </c>
      <c r="D15" s="35">
        <f t="shared" si="0"/>
        <v>1698.045525</v>
      </c>
    </row>
    <row r="16" spans="1:8" x14ac:dyDescent="0.55000000000000004">
      <c r="B16" s="34">
        <v>8</v>
      </c>
      <c r="C16" s="30" t="s">
        <v>56</v>
      </c>
      <c r="D16" s="35">
        <f t="shared" si="0"/>
        <v>2326.2305999999999</v>
      </c>
    </row>
    <row r="17" spans="2:4" x14ac:dyDescent="0.55000000000000004">
      <c r="B17" s="34">
        <v>9</v>
      </c>
      <c r="C17" s="30" t="s">
        <v>57</v>
      </c>
      <c r="D17" s="35">
        <f t="shared" si="0"/>
        <v>2954.4156749999997</v>
      </c>
    </row>
    <row r="18" spans="2:4" x14ac:dyDescent="0.55000000000000004">
      <c r="B18" s="36">
        <v>10</v>
      </c>
      <c r="C18" s="32" t="s">
        <v>58</v>
      </c>
      <c r="D18" s="37">
        <f t="shared" si="0"/>
        <v>3582.6007499999996</v>
      </c>
    </row>
  </sheetData>
  <sheetProtection algorithmName="SHA-512" hashValue="hShUcl150CflODd/RdNnI9/lh5MDTH/EM2KIWP5RXU0nVya94LRR5WpAMvWLFEzJtGCJLrypfEFCqY264UBE8Q==" saltValue="d4hOLsvAl5uaMFgUaKpxJQ==" spinCount="100000" sheet="1" selectLockedCells="1"/>
  <hyperlinks>
    <hyperlink ref="D1" location="'Compost Payback Calculations'!A1" display="Back to Payback Calculations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Compost Payback Calculations</vt:lpstr>
      <vt:lpstr>Resident Cost</vt:lpstr>
      <vt:lpstr>No Cost to Resident</vt:lpstr>
    </vt:vector>
  </TitlesOfParts>
  <Company>Pactiv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hansokm</dc:creator>
  <cp:lastModifiedBy>Bouchard, Katie L.</cp:lastModifiedBy>
  <dcterms:created xsi:type="dcterms:W3CDTF">2012-08-20T13:00:42Z</dcterms:created>
  <dcterms:modified xsi:type="dcterms:W3CDTF">2023-03-20T18:52:43Z</dcterms:modified>
</cp:coreProperties>
</file>